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42\042-arkiv\GF 2020\Til udsendelse\"/>
    </mc:Choice>
  </mc:AlternateContent>
  <xr:revisionPtr revIDLastSave="0" documentId="13_ncr:1_{C76F623A-3D4B-47CC-B6BA-AD48DDA7EECA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</sheets>
  <definedNames>
    <definedName name="_xlnm.Print_Area" localSheetId="0">Sheet1!$A:$A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3" i="1"/>
  <c r="D32" i="1"/>
  <c r="D31" i="1"/>
  <c r="D30" i="1"/>
  <c r="D29" i="1"/>
  <c r="D27" i="1"/>
  <c r="D26" i="1"/>
  <c r="D25" i="1"/>
  <c r="D22" i="1"/>
  <c r="D21" i="1"/>
  <c r="D20" i="1"/>
  <c r="D19" i="1"/>
  <c r="D18" i="1"/>
  <c r="D17" i="1"/>
  <c r="D16" i="1"/>
  <c r="D8" i="1"/>
  <c r="D7" i="1"/>
  <c r="D12" i="1" l="1"/>
  <c r="K20" i="1"/>
  <c r="L32" i="1"/>
  <c r="L34" i="1"/>
  <c r="K19" i="1"/>
  <c r="L8" i="1" l="1"/>
  <c r="L7" i="1" l="1"/>
  <c r="L33" i="1" l="1"/>
  <c r="L28" i="1"/>
  <c r="L12" i="1" l="1"/>
  <c r="K31" i="1" l="1"/>
  <c r="K22" i="1" l="1"/>
  <c r="K27" i="1"/>
  <c r="L27" i="1" s="1"/>
  <c r="K25" i="1" l="1"/>
  <c r="L25" i="1" s="1"/>
  <c r="K24" i="1"/>
  <c r="K23" i="1"/>
  <c r="K21" i="1"/>
  <c r="K18" i="1"/>
  <c r="K17" i="1"/>
  <c r="K15" i="1"/>
  <c r="K16" i="1"/>
  <c r="J24" i="1"/>
  <c r="J23" i="1"/>
  <c r="I7" i="1"/>
  <c r="K7" i="1" s="1"/>
  <c r="K12" i="1" s="1"/>
  <c r="I17" i="1"/>
  <c r="I33" i="1"/>
  <c r="I26" i="1"/>
  <c r="K26" i="1" s="1"/>
  <c r="K36" i="1" l="1"/>
  <c r="K37" i="1" s="1"/>
  <c r="L26" i="1"/>
  <c r="L36" i="1" s="1"/>
  <c r="L37" i="1" s="1"/>
  <c r="I36" i="1"/>
  <c r="I12" i="1"/>
  <c r="H15" i="1"/>
  <c r="G33" i="1"/>
  <c r="G29" i="1"/>
  <c r="G17" i="1"/>
  <c r="G22" i="1"/>
  <c r="G12" i="1"/>
  <c r="I37" i="1" l="1"/>
  <c r="E33" i="1"/>
  <c r="E31" i="1"/>
  <c r="E30" i="1"/>
  <c r="E29" i="1"/>
  <c r="E27" i="1"/>
  <c r="G27" i="1" s="1"/>
  <c r="E23" i="1"/>
  <c r="G23" i="1" s="1"/>
  <c r="H23" i="1" s="1"/>
  <c r="E22" i="1"/>
  <c r="E18" i="1"/>
  <c r="E32" i="1"/>
  <c r="E28" i="1"/>
  <c r="E25" i="1"/>
  <c r="E24" i="1"/>
  <c r="E21" i="1"/>
  <c r="E19" i="1"/>
  <c r="E17" i="1"/>
  <c r="E16" i="1"/>
  <c r="E15" i="1"/>
  <c r="E26" i="1"/>
  <c r="D35" i="1"/>
  <c r="J29" i="1"/>
  <c r="D28" i="1"/>
  <c r="J27" i="1"/>
  <c r="D24" i="1"/>
  <c r="H24" i="1" s="1"/>
  <c r="J22" i="1"/>
  <c r="J17" i="1"/>
  <c r="D15" i="1"/>
  <c r="C34" i="1"/>
  <c r="C33" i="1"/>
  <c r="C32" i="1"/>
  <c r="C31" i="1"/>
  <c r="C30" i="1"/>
  <c r="C29" i="1"/>
  <c r="C28" i="1"/>
  <c r="C27" i="1"/>
  <c r="C25" i="1"/>
  <c r="C24" i="1"/>
  <c r="C22" i="1"/>
  <c r="C21" i="1"/>
  <c r="C20" i="1"/>
  <c r="C19" i="1"/>
  <c r="C18" i="1"/>
  <c r="C17" i="1"/>
  <c r="C16" i="1"/>
  <c r="C15" i="1"/>
  <c r="C26" i="1"/>
  <c r="E7" i="1"/>
  <c r="C10" i="1"/>
  <c r="C9" i="1"/>
  <c r="C8" i="1"/>
  <c r="C7" i="1"/>
  <c r="H17" i="1" l="1"/>
  <c r="H22" i="1"/>
  <c r="J7" i="1"/>
  <c r="H7" i="1"/>
  <c r="J19" i="1"/>
  <c r="H19" i="1"/>
  <c r="J32" i="1"/>
  <c r="H32" i="1"/>
  <c r="H29" i="1"/>
  <c r="J8" i="1"/>
  <c r="H8" i="1"/>
  <c r="J16" i="1"/>
  <c r="H16" i="1"/>
  <c r="J20" i="1"/>
  <c r="H20" i="1"/>
  <c r="J25" i="1"/>
  <c r="H25" i="1"/>
  <c r="J33" i="1"/>
  <c r="H33" i="1"/>
  <c r="J21" i="1"/>
  <c r="H21" i="1"/>
  <c r="J30" i="1"/>
  <c r="H30" i="1"/>
  <c r="J34" i="1"/>
  <c r="H34" i="1"/>
  <c r="H27" i="1"/>
  <c r="J26" i="1"/>
  <c r="H26" i="1"/>
  <c r="J18" i="1"/>
  <c r="H18" i="1"/>
  <c r="J28" i="1"/>
  <c r="H28" i="1"/>
  <c r="J31" i="1"/>
  <c r="H31" i="1"/>
  <c r="G36" i="1"/>
  <c r="F35" i="1"/>
  <c r="F34" i="1"/>
  <c r="F32" i="1"/>
  <c r="F31" i="1"/>
  <c r="F30" i="1"/>
  <c r="F29" i="1"/>
  <c r="F28" i="1"/>
  <c r="F25" i="1"/>
  <c r="F24" i="1"/>
  <c r="F23" i="1"/>
  <c r="F22" i="1"/>
  <c r="F21" i="1"/>
  <c r="F20" i="1"/>
  <c r="F17" i="1"/>
  <c r="F15" i="1"/>
  <c r="F8" i="1"/>
  <c r="F7" i="1"/>
  <c r="C36" i="1"/>
  <c r="D36" i="1"/>
  <c r="J36" i="1" s="1"/>
  <c r="F27" i="1"/>
  <c r="F19" i="1"/>
  <c r="F18" i="1"/>
  <c r="F16" i="1"/>
  <c r="H36" i="1" l="1"/>
  <c r="G37" i="1"/>
  <c r="H12" i="1" l="1"/>
  <c r="J12" i="1"/>
  <c r="D37" i="1"/>
  <c r="F33" i="1"/>
  <c r="F26" i="1" l="1"/>
  <c r="E36" i="1"/>
  <c r="F36" i="1" s="1"/>
  <c r="C12" i="1"/>
  <c r="C37" i="1" s="1"/>
  <c r="E12" i="1"/>
  <c r="F12" i="1" s="1"/>
  <c r="E3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tc={2E1E7991-3968-482A-A7A7-52F51D4FE549}</author>
  </authors>
  <commentList>
    <comment ref="G7" authorId="0" shapeId="0" xr:uid="{2E1E7991-3968-482A-A7A7-52F51D4FE549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Det ser fornuftigt ud. Holder vi medlemstallet kommer det til at balancere, når vi får opkrævningen for fraktion 4 efter nytår.</t>
      </text>
    </comment>
  </commentList>
</comments>
</file>

<file path=xl/sharedStrings.xml><?xml version="1.0" encoding="utf-8"?>
<sst xmlns="http://schemas.openxmlformats.org/spreadsheetml/2006/main" count="54" uniqueCount="43">
  <si>
    <t>1314664 - Lejre Lærerforening</t>
  </si>
  <si>
    <t>Nr.</t>
  </si>
  <si>
    <t> </t>
  </si>
  <si>
    <t>Omsætning</t>
  </si>
  <si>
    <t>Kontingent medlemmer</t>
  </si>
  <si>
    <t>AKUT-fond</t>
  </si>
  <si>
    <t>Omsætning i alt</t>
  </si>
  <si>
    <t>Udgifter</t>
  </si>
  <si>
    <t>afdrag på pensionsgæld til Lejre Kommune</t>
  </si>
  <si>
    <t>Mødeudgifter</t>
  </si>
  <si>
    <t>Kørselsgodtgørelse</t>
  </si>
  <si>
    <t>repræsentation</t>
  </si>
  <si>
    <t>Fraktion 4</t>
  </si>
  <si>
    <t>Forpligtende kredssamarbejde</t>
  </si>
  <si>
    <t>Generalforsamling</t>
  </si>
  <si>
    <t>Kurser</t>
  </si>
  <si>
    <t>Hensættelse medlemskursus</t>
  </si>
  <si>
    <t>Lønssumsafgift</t>
  </si>
  <si>
    <t>Husleje</t>
  </si>
  <si>
    <t>Kontorhold</t>
  </si>
  <si>
    <t>Mindre anskaffelser</t>
  </si>
  <si>
    <t>Telefon og internet</t>
  </si>
  <si>
    <t>Forsikringer</t>
  </si>
  <si>
    <t>Revision</t>
  </si>
  <si>
    <t>Årsregnskab 2018</t>
  </si>
  <si>
    <t>løn og frikøb</t>
  </si>
  <si>
    <t>Gebyrer bank, Danløn og DLF</t>
  </si>
  <si>
    <t xml:space="preserve">Medlemskursus </t>
  </si>
  <si>
    <t>Rengøring</t>
  </si>
  <si>
    <t>Overskudskrav</t>
  </si>
  <si>
    <t xml:space="preserve">Resultat </t>
  </si>
  <si>
    <t>Udgifter i alt</t>
  </si>
  <si>
    <t>Perioden 1.1-21.3.2019</t>
  </si>
  <si>
    <t>i %</t>
  </si>
  <si>
    <t>Perioden 1.1-20.6.2019</t>
  </si>
  <si>
    <t>Perioden 1.1-10.9.2019</t>
  </si>
  <si>
    <t>Krystalkuglen (forsigtigt bud) 2019</t>
  </si>
  <si>
    <t xml:space="preserve">Budget 2020 </t>
  </si>
  <si>
    <t>Budget 2020</t>
  </si>
  <si>
    <t>Årsregnskab 2019</t>
  </si>
  <si>
    <t>ny start</t>
  </si>
  <si>
    <t>renter</t>
  </si>
  <si>
    <t>aktier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</si>
</sst>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.&quot;_-;\-* #,##0.00\ &quot;kr.&quot;_-;_-* &quot;-&quot;??\ &quot;kr.&quot;_-;_-@_-"/>
    <numFmt numFmtId="164" formatCode="_-* #,##0.00\ [$kr.-406]_-;\-* #,##0.00\ [$kr.-406]_-;_-* &quot;-&quot;??\ [$kr.-406]_-;_-@_-"/>
    <numFmt numFmtId="165" formatCode="_-* #,##0\ &quot;kr.&quot;_-;\-* #,##0\ &quot;kr.&quot;_-;_-* &quot;-&quot;??\ &quot;kr.&quot;_-;_-@_-"/>
  </numFmts>
  <fonts count="14">
    <font>
      <sz val="11"/>
      <name val="Calibri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theme="9" tint="-0.249977111117893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499984740745262"/>
      <name val="Calibri"/>
      <family val="2"/>
    </font>
    <font>
      <sz val="11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3" fillId="2" borderId="1" applyNumberFormat="0" applyFont="0" applyAlignment="0" applyProtection="0"/>
    <xf numFmtId="44" fontId="13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164" fontId="8" fillId="2" borderId="1" xfId="1" applyNumberFormat="1" applyFont="1" applyAlignment="1">
      <alignment horizontal="right"/>
    </xf>
    <xf numFmtId="164" fontId="0" fillId="3" borderId="1" xfId="1" applyNumberFormat="1" applyFont="1" applyFill="1"/>
    <xf numFmtId="164" fontId="2" fillId="3" borderId="1" xfId="1" applyNumberFormat="1" applyFont="1" applyFill="1"/>
    <xf numFmtId="164" fontId="5" fillId="3" borderId="1" xfId="1" applyNumberFormat="1" applyFont="1" applyFill="1"/>
    <xf numFmtId="164" fontId="4" fillId="3" borderId="1" xfId="1" applyNumberFormat="1" applyFont="1" applyFill="1"/>
    <xf numFmtId="164" fontId="7" fillId="3" borderId="1" xfId="1" applyNumberFormat="1" applyFont="1" applyFill="1"/>
    <xf numFmtId="9" fontId="0" fillId="2" borderId="1" xfId="1" applyNumberFormat="1" applyFont="1"/>
    <xf numFmtId="9" fontId="4" fillId="2" borderId="1" xfId="1" applyNumberFormat="1" applyFont="1"/>
    <xf numFmtId="44" fontId="0" fillId="4" borderId="1" xfId="1" applyNumberFormat="1" applyFont="1" applyFill="1"/>
    <xf numFmtId="44" fontId="2" fillId="4" borderId="1" xfId="1" applyNumberFormat="1" applyFont="1" applyFill="1"/>
    <xf numFmtId="44" fontId="5" fillId="4" borderId="1" xfId="1" applyNumberFormat="1" applyFont="1" applyFill="1"/>
    <xf numFmtId="44" fontId="4" fillId="4" borderId="1" xfId="1" applyNumberFormat="1" applyFont="1" applyFill="1"/>
    <xf numFmtId="44" fontId="6" fillId="4" borderId="1" xfId="1" applyNumberFormat="1" applyFont="1" applyFill="1"/>
    <xf numFmtId="44" fontId="0" fillId="0" borderId="1" xfId="1" applyNumberFormat="1" applyFont="1" applyFill="1"/>
    <xf numFmtId="164" fontId="0" fillId="0" borderId="1" xfId="1" applyNumberFormat="1" applyFont="1" applyFill="1"/>
    <xf numFmtId="164" fontId="8" fillId="0" borderId="1" xfId="1" applyNumberFormat="1" applyFont="1" applyFill="1" applyAlignment="1">
      <alignment horizontal="right"/>
    </xf>
    <xf numFmtId="9" fontId="0" fillId="0" borderId="1" xfId="1" applyNumberFormat="1" applyFont="1" applyFill="1"/>
    <xf numFmtId="164" fontId="9" fillId="2" borderId="1" xfId="1" applyNumberFormat="1" applyFont="1" applyAlignment="1">
      <alignment horizontal="right"/>
    </xf>
    <xf numFmtId="164" fontId="10" fillId="2" borderId="1" xfId="1" applyNumberFormat="1" applyFont="1" applyAlignment="1">
      <alignment horizontal="right"/>
    </xf>
    <xf numFmtId="164" fontId="0" fillId="3" borderId="1" xfId="1" applyNumberFormat="1" applyFont="1" applyFill="1" applyAlignment="1">
      <alignment horizontal="center"/>
    </xf>
    <xf numFmtId="44" fontId="3" fillId="4" borderId="1" xfId="1" applyNumberFormat="1" applyFill="1"/>
    <xf numFmtId="164" fontId="0" fillId="0" borderId="0" xfId="0" applyNumberFormat="1"/>
    <xf numFmtId="164" fontId="0" fillId="5" borderId="1" xfId="1" applyNumberFormat="1" applyFont="1" applyFill="1"/>
    <xf numFmtId="164" fontId="4" fillId="5" borderId="1" xfId="1" applyNumberFormat="1" applyFont="1" applyFill="1"/>
    <xf numFmtId="164" fontId="2" fillId="5" borderId="1" xfId="1" applyNumberFormat="1" applyFont="1" applyFill="1"/>
    <xf numFmtId="9" fontId="1" fillId="5" borderId="1" xfId="1" applyNumberFormat="1" applyFont="1" applyFill="1"/>
    <xf numFmtId="164" fontId="12" fillId="5" borderId="1" xfId="1" applyNumberFormat="1" applyFont="1" applyFill="1"/>
    <xf numFmtId="9" fontId="11" fillId="5" borderId="1" xfId="1" applyNumberFormat="1" applyFont="1" applyFill="1"/>
    <xf numFmtId="9" fontId="1" fillId="0" borderId="1" xfId="1" applyNumberFormat="1" applyFont="1" applyFill="1"/>
    <xf numFmtId="164" fontId="0" fillId="2" borderId="1" xfId="1" applyNumberFormat="1" applyFont="1"/>
    <xf numFmtId="164" fontId="3" fillId="2" borderId="1" xfId="1" applyNumberFormat="1" applyFont="1"/>
    <xf numFmtId="164" fontId="4" fillId="2" borderId="1" xfId="1" applyNumberFormat="1" applyFont="1"/>
    <xf numFmtId="164" fontId="2" fillId="2" borderId="1" xfId="1" applyNumberFormat="1" applyFont="1"/>
    <xf numFmtId="164" fontId="7" fillId="2" borderId="1" xfId="1" applyNumberFormat="1" applyFont="1"/>
    <xf numFmtId="9" fontId="3" fillId="2" borderId="1" xfId="1" applyNumberFormat="1" applyFont="1"/>
    <xf numFmtId="9" fontId="2" fillId="2" borderId="1" xfId="1" applyNumberFormat="1" applyFont="1"/>
    <xf numFmtId="164" fontId="0" fillId="6" borderId="1" xfId="1" applyNumberFormat="1" applyFont="1" applyFill="1"/>
    <xf numFmtId="9" fontId="3" fillId="6" borderId="1" xfId="1" applyNumberFormat="1" applyFont="1" applyFill="1"/>
    <xf numFmtId="164" fontId="2" fillId="7" borderId="1" xfId="1" applyNumberFormat="1" applyFont="1" applyFill="1"/>
    <xf numFmtId="164" fontId="0" fillId="7" borderId="1" xfId="1" applyNumberFormat="1" applyFont="1" applyFill="1"/>
    <xf numFmtId="164" fontId="3" fillId="7" borderId="1" xfId="1" applyNumberFormat="1" applyFont="1" applyFill="1"/>
    <xf numFmtId="164" fontId="4" fillId="7" borderId="1" xfId="1" applyNumberFormat="1" applyFont="1" applyFill="1"/>
    <xf numFmtId="164" fontId="7" fillId="7" borderId="1" xfId="1" applyNumberFormat="1" applyFont="1" applyFill="1"/>
    <xf numFmtId="44" fontId="0" fillId="6" borderId="1" xfId="1" applyNumberFormat="1" applyFont="1" applyFill="1"/>
    <xf numFmtId="164" fontId="8" fillId="6" borderId="1" xfId="1" applyNumberFormat="1" applyFont="1" applyFill="1" applyAlignment="1">
      <alignment horizontal="right"/>
    </xf>
    <xf numFmtId="9" fontId="0" fillId="6" borderId="1" xfId="1" applyNumberFormat="1" applyFont="1" applyFill="1"/>
    <xf numFmtId="9" fontId="1" fillId="6" borderId="1" xfId="1" applyNumberFormat="1" applyFont="1" applyFill="1"/>
    <xf numFmtId="44" fontId="2" fillId="6" borderId="1" xfId="1" applyNumberFormat="1" applyFont="1" applyFill="1"/>
    <xf numFmtId="164" fontId="2" fillId="6" borderId="1" xfId="1" applyNumberFormat="1" applyFont="1" applyFill="1"/>
    <xf numFmtId="164" fontId="0" fillId="6" borderId="0" xfId="0" applyNumberFormat="1" applyFill="1"/>
    <xf numFmtId="165" fontId="0" fillId="0" borderId="0" xfId="2" applyNumberFormat="1" applyFont="1"/>
    <xf numFmtId="165" fontId="2" fillId="8" borderId="1" xfId="1" applyNumberFormat="1" applyFont="1" applyFill="1"/>
    <xf numFmtId="165" fontId="0" fillId="8" borderId="1" xfId="1" applyNumberFormat="1" applyFont="1" applyFill="1"/>
    <xf numFmtId="165" fontId="0" fillId="6" borderId="1" xfId="1" applyNumberFormat="1" applyFont="1" applyFill="1"/>
    <xf numFmtId="165" fontId="4" fillId="8" borderId="1" xfId="1" applyNumberFormat="1" applyFont="1" applyFill="1"/>
    <xf numFmtId="165" fontId="7" fillId="8" borderId="1" xfId="1" applyNumberFormat="1" applyFont="1" applyFill="1"/>
    <xf numFmtId="0" fontId="2" fillId="0" borderId="0" xfId="0" applyFont="1"/>
    <xf numFmtId="0" fontId="0" fillId="0" borderId="0" xfId="0"/>
    <xf numFmtId="0" fontId="0" fillId="0" borderId="0" xfId="0" applyAlignment="1">
      <alignment horizontal="right"/>
    </xf>
  </cellXfs>
  <cellStyles count="3">
    <cellStyle name="Bemærk!" xfId="1" builtinId="10"/>
    <cellStyle name="Normal" xfId="0" builtinId="0"/>
    <cellStyle name="Valuta" xfId="2" builtinId="4"/>
  </cellStyles>
  <dxfs count="0"/>
  <tableStyles count="0" defaultTableStyle="TableStyleMedium2" defaultPivotStyle="PivotStyleLight16"/>
  <colors>
    <mruColors>
      <color rgb="FFA6F4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nne Jensen Bramsnaesvigskolen" id="{F6CAD45C-C65D-4A28-B2C2-D321E25EE583}" userId="S::anne733j@lejreedu.dk::bdde7741-52e6-41e4-a5fe-18c8f8a7f0c0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7" dT="2019-06-20T08:51:17.22" personId="{F6CAD45C-C65D-4A28-B2C2-D321E25EE583}" id="{2E1E7991-3968-482A-A7A7-52F51D4FE549}">
    <text>Det ser fornuftigt ud. Holder vi medlemstallet kommer det til at balancere, når vi får opkrævningen for fraktion 4 efter nytår.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0"/>
  <sheetViews>
    <sheetView tabSelected="1" topLeftCell="B1" zoomScaleNormal="100" workbookViewId="0">
      <selection activeCell="L35" sqref="L35"/>
    </sheetView>
  </sheetViews>
  <sheetFormatPr defaultRowHeight="15"/>
  <cols>
    <col min="1" max="1" width="13.7109375" hidden="1" customWidth="1"/>
    <col min="2" max="2" width="44" customWidth="1"/>
    <col min="3" max="3" width="44" style="12" hidden="1" customWidth="1"/>
    <col min="4" max="4" width="24.5703125" style="5" customWidth="1"/>
    <col min="5" max="5" width="21.5703125" style="4" hidden="1" customWidth="1"/>
    <col min="6" max="6" width="0" style="10" hidden="1" customWidth="1"/>
    <col min="7" max="7" width="22.28515625" style="25" hidden="1" customWidth="1"/>
    <col min="8" max="8" width="0" style="29" hidden="1" customWidth="1"/>
    <col min="9" max="9" width="32.42578125" style="33" hidden="1" customWidth="1"/>
    <col min="10" max="10" width="7.85546875" style="38" hidden="1" customWidth="1"/>
    <col min="11" max="11" width="16.85546875" style="25" hidden="1" customWidth="1"/>
    <col min="12" max="12" width="22.5703125" style="54" customWidth="1"/>
    <col min="13" max="13" width="13.42578125" bestFit="1" customWidth="1"/>
  </cols>
  <sheetData>
    <row r="1" spans="1:25">
      <c r="C1" s="17"/>
      <c r="D1" s="18"/>
      <c r="E1" s="19"/>
      <c r="F1" s="20"/>
      <c r="H1" s="32"/>
      <c r="I1" s="40"/>
      <c r="J1" s="41"/>
    </row>
    <row r="2" spans="1:25">
      <c r="A2" s="60" t="s">
        <v>0</v>
      </c>
      <c r="B2" s="61"/>
      <c r="C2" s="61"/>
      <c r="D2" s="61"/>
      <c r="E2" s="62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5">
      <c r="A3" s="60"/>
      <c r="B3" s="61"/>
      <c r="C3" s="61"/>
      <c r="D3" s="61"/>
      <c r="E3" s="62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5">
      <c r="A4" s="60" t="s">
        <v>38</v>
      </c>
      <c r="B4" s="61"/>
      <c r="C4" s="61"/>
      <c r="D4" s="61"/>
      <c r="E4" s="62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</row>
    <row r="5" spans="1:25">
      <c r="A5" s="1" t="s">
        <v>1</v>
      </c>
      <c r="B5" s="1"/>
      <c r="C5" s="13" t="s">
        <v>24</v>
      </c>
      <c r="D5" s="6" t="s">
        <v>39</v>
      </c>
      <c r="E5" s="21" t="s">
        <v>32</v>
      </c>
      <c r="F5" s="11" t="s">
        <v>33</v>
      </c>
      <c r="G5" s="28" t="s">
        <v>34</v>
      </c>
      <c r="H5" s="31" t="s">
        <v>33</v>
      </c>
      <c r="I5" s="36" t="s">
        <v>35</v>
      </c>
      <c r="K5" s="42" t="s">
        <v>36</v>
      </c>
      <c r="L5" s="55" t="s">
        <v>37</v>
      </c>
    </row>
    <row r="6" spans="1:25">
      <c r="A6" t="s">
        <v>2</v>
      </c>
      <c r="B6" s="1" t="s">
        <v>3</v>
      </c>
      <c r="C6" s="13"/>
      <c r="D6" s="6"/>
      <c r="E6" s="4" t="s">
        <v>2</v>
      </c>
      <c r="G6" s="26"/>
      <c r="K6" s="43"/>
      <c r="L6" s="56"/>
    </row>
    <row r="7" spans="1:25">
      <c r="A7">
        <v>1010</v>
      </c>
      <c r="B7" t="s">
        <v>4</v>
      </c>
      <c r="C7" s="12">
        <f>-1112428*-1</f>
        <v>1112428</v>
      </c>
      <c r="D7" s="5">
        <f>1136953</f>
        <v>1136953</v>
      </c>
      <c r="E7" s="4">
        <f>-302091*-1</f>
        <v>302091</v>
      </c>
      <c r="F7" s="10">
        <f>E7/D7</f>
        <v>0.2657022761714864</v>
      </c>
      <c r="G7" s="26">
        <v>488725</v>
      </c>
      <c r="H7" s="29">
        <f>G7/D7</f>
        <v>0.42985505997169626</v>
      </c>
      <c r="I7" s="33">
        <f>664601+94924</f>
        <v>759525</v>
      </c>
      <c r="J7" s="38">
        <f>I7/D7</f>
        <v>0.66803553005269345</v>
      </c>
      <c r="K7" s="43">
        <f>I7+94000*4+5*70*12</f>
        <v>1139725</v>
      </c>
      <c r="L7" s="56">
        <f>(361*248*12*1.027)+(361/2*10*12*1.027)+(70*41*12*1.027)</f>
        <v>1160957.7719999999</v>
      </c>
    </row>
    <row r="8" spans="1:25">
      <c r="A8">
        <v>1060</v>
      </c>
      <c r="B8" t="s">
        <v>5</v>
      </c>
      <c r="C8" s="12">
        <f>-152928*-1</f>
        <v>152928</v>
      </c>
      <c r="D8" s="5">
        <f>157887</f>
        <v>157887</v>
      </c>
      <c r="E8" s="4">
        <v>0</v>
      </c>
      <c r="F8" s="10">
        <f>E8/D8</f>
        <v>0</v>
      </c>
      <c r="G8" s="26">
        <v>76800</v>
      </c>
      <c r="H8" s="29">
        <f>G8/D8</f>
        <v>0.48642383476790363</v>
      </c>
      <c r="I8" s="33">
        <v>76800</v>
      </c>
      <c r="J8" s="38">
        <f>I8/D8</f>
        <v>0.48642383476790363</v>
      </c>
      <c r="K8" s="43">
        <v>157905</v>
      </c>
      <c r="L8" s="56">
        <f>K8</f>
        <v>157905</v>
      </c>
    </row>
    <row r="9" spans="1:25">
      <c r="A9">
        <v>1090</v>
      </c>
      <c r="B9" t="s">
        <v>40</v>
      </c>
      <c r="C9" s="12">
        <f>-2261*-1</f>
        <v>2261</v>
      </c>
      <c r="D9" s="5">
        <v>16000</v>
      </c>
      <c r="E9" s="4">
        <v>0</v>
      </c>
      <c r="F9" s="10">
        <v>0</v>
      </c>
      <c r="G9" s="26"/>
      <c r="K9" s="43"/>
      <c r="L9" s="56"/>
    </row>
    <row r="10" spans="1:25">
      <c r="A10">
        <v>1091</v>
      </c>
      <c r="B10" t="s">
        <v>41</v>
      </c>
      <c r="C10" s="12">
        <f>-50000*-1</f>
        <v>50000</v>
      </c>
      <c r="D10" s="23">
        <v>1543</v>
      </c>
      <c r="E10" s="4">
        <v>0</v>
      </c>
      <c r="F10" s="10">
        <v>0</v>
      </c>
      <c r="G10" s="26">
        <v>16000</v>
      </c>
      <c r="I10" s="33">
        <v>16000</v>
      </c>
      <c r="K10" s="43">
        <v>16000</v>
      </c>
      <c r="L10" s="56">
        <v>1543</v>
      </c>
    </row>
    <row r="11" spans="1:25">
      <c r="A11" t="s">
        <v>2</v>
      </c>
      <c r="B11" t="s">
        <v>42</v>
      </c>
      <c r="D11" s="5">
        <v>2760</v>
      </c>
    </row>
    <row r="12" spans="1:25">
      <c r="A12" t="s">
        <v>2</v>
      </c>
      <c r="B12" s="1" t="s">
        <v>6</v>
      </c>
      <c r="C12" s="13">
        <f>SUM(C7:C10)</f>
        <v>1317617</v>
      </c>
      <c r="D12" s="6">
        <f>SUM(D7:D11)</f>
        <v>1315143</v>
      </c>
      <c r="E12" s="21">
        <f>SUM(E7:E10)</f>
        <v>302091</v>
      </c>
      <c r="F12" s="10">
        <f>E12/D12</f>
        <v>0.22970201719508829</v>
      </c>
      <c r="G12" s="28">
        <f>SUM(G7:G10)</f>
        <v>581525</v>
      </c>
      <c r="H12" s="29">
        <f>G12/D12</f>
        <v>0.44217625003516725</v>
      </c>
      <c r="I12" s="36">
        <f>SUM(I7:I10)</f>
        <v>852325</v>
      </c>
      <c r="J12" s="38">
        <f>I12/D12</f>
        <v>0.64808541732724123</v>
      </c>
      <c r="K12" s="42">
        <f>SUM(K7:K10)</f>
        <v>1313630</v>
      </c>
      <c r="L12" s="55">
        <f>SUM(L7:L10)</f>
        <v>1320405.7719999999</v>
      </c>
    </row>
    <row r="13" spans="1:25">
      <c r="A13" t="s">
        <v>2</v>
      </c>
      <c r="C13" s="51"/>
      <c r="D13" s="52"/>
      <c r="E13" s="48" t="s">
        <v>2</v>
      </c>
      <c r="F13" s="49"/>
      <c r="G13" s="40"/>
      <c r="H13" s="50"/>
      <c r="I13" s="40"/>
      <c r="J13" s="41"/>
      <c r="K13" s="40"/>
      <c r="L13" s="57"/>
    </row>
    <row r="14" spans="1:25">
      <c r="A14" t="s">
        <v>2</v>
      </c>
      <c r="B14" s="1" t="s">
        <v>7</v>
      </c>
      <c r="C14" s="47"/>
      <c r="D14" s="40" t="s">
        <v>39</v>
      </c>
      <c r="E14" s="48" t="s">
        <v>2</v>
      </c>
      <c r="F14" s="49"/>
      <c r="G14" s="40"/>
      <c r="H14" s="50"/>
      <c r="I14" s="40"/>
      <c r="J14" s="41"/>
      <c r="K14" s="40"/>
      <c r="L14" s="57" t="s">
        <v>37</v>
      </c>
    </row>
    <row r="15" spans="1:25">
      <c r="A15">
        <v>2011</v>
      </c>
      <c r="B15" t="s">
        <v>8</v>
      </c>
      <c r="C15" s="12">
        <f>1*-100000</f>
        <v>-100000</v>
      </c>
      <c r="D15" s="5">
        <f>-1*20000</f>
        <v>-20000</v>
      </c>
      <c r="E15" s="4">
        <f>-1*20000</f>
        <v>-20000</v>
      </c>
      <c r="F15" s="10">
        <f t="shared" ref="F15:F20" si="0">E15/D15</f>
        <v>1</v>
      </c>
      <c r="G15" s="26">
        <v>-20000</v>
      </c>
      <c r="H15" s="29">
        <f>1</f>
        <v>1</v>
      </c>
      <c r="I15" s="33">
        <v>-20000</v>
      </c>
      <c r="J15" s="38">
        <v>1</v>
      </c>
      <c r="K15" s="43">
        <f>-20000</f>
        <v>-20000</v>
      </c>
      <c r="L15" s="56">
        <v>-20000</v>
      </c>
    </row>
    <row r="16" spans="1:25">
      <c r="A16">
        <v>2200</v>
      </c>
      <c r="B16" t="s">
        <v>9</v>
      </c>
      <c r="C16" s="12">
        <f>21258*-1</f>
        <v>-21258</v>
      </c>
      <c r="D16" s="5">
        <f>-1*16956</f>
        <v>-16956</v>
      </c>
      <c r="E16" s="4">
        <f>-1*3054.44</f>
        <v>-3054.44</v>
      </c>
      <c r="F16" s="10">
        <f t="shared" si="0"/>
        <v>0.18013918376975702</v>
      </c>
      <c r="G16" s="26">
        <v>-6260.34</v>
      </c>
      <c r="H16" s="29">
        <f t="shared" ref="H16:H34" si="1">G16/D16</f>
        <v>0.36921089879688607</v>
      </c>
      <c r="I16" s="33">
        <v>-8338</v>
      </c>
      <c r="J16" s="38">
        <f t="shared" ref="J16:J23" si="2">I16/D16</f>
        <v>0.49174333569238027</v>
      </c>
      <c r="K16" s="43">
        <f>-20000</f>
        <v>-20000</v>
      </c>
      <c r="L16" s="56">
        <v>-20000</v>
      </c>
    </row>
    <row r="17" spans="1:13">
      <c r="A17">
        <v>2210</v>
      </c>
      <c r="B17" t="s">
        <v>10</v>
      </c>
      <c r="C17" s="12">
        <f>-1*13715</f>
        <v>-13715</v>
      </c>
      <c r="D17" s="5">
        <f>-1*12208</f>
        <v>-12208</v>
      </c>
      <c r="E17" s="4">
        <f>-1*625.75</f>
        <v>-625.75</v>
      </c>
      <c r="F17" s="10">
        <f t="shared" si="0"/>
        <v>5.1257372214941026E-2</v>
      </c>
      <c r="G17" s="26">
        <f>(1149.15+490)*-1</f>
        <v>-1639.15</v>
      </c>
      <c r="H17" s="29">
        <f t="shared" si="1"/>
        <v>0.13426851245085192</v>
      </c>
      <c r="I17" s="33">
        <f>-4569-1368</f>
        <v>-5937</v>
      </c>
      <c r="J17" s="38">
        <f t="shared" si="2"/>
        <v>0.48632044560943644</v>
      </c>
      <c r="K17" s="43">
        <f>-16000</f>
        <v>-16000</v>
      </c>
      <c r="L17" s="56">
        <v>-16000</v>
      </c>
    </row>
    <row r="18" spans="1:13">
      <c r="A18">
        <v>2215</v>
      </c>
      <c r="B18" t="s">
        <v>11</v>
      </c>
      <c r="C18" s="12">
        <f>-1*5039</f>
        <v>-5039</v>
      </c>
      <c r="D18" s="5">
        <f>-1*4959</f>
        <v>-4959</v>
      </c>
      <c r="E18" s="4">
        <f>-524.72</f>
        <v>-524.72</v>
      </c>
      <c r="F18" s="10">
        <f t="shared" si="0"/>
        <v>0.10581165557572092</v>
      </c>
      <c r="G18" s="26">
        <v>-2011.76</v>
      </c>
      <c r="H18" s="29">
        <f t="shared" si="1"/>
        <v>0.4056785642266586</v>
      </c>
      <c r="I18" s="33">
        <v>-3859</v>
      </c>
      <c r="J18" s="38">
        <f t="shared" si="2"/>
        <v>0.77818108489614846</v>
      </c>
      <c r="K18" s="43">
        <f>-7000</f>
        <v>-7000</v>
      </c>
      <c r="L18" s="56">
        <v>-5000</v>
      </c>
    </row>
    <row r="19" spans="1:13">
      <c r="A19">
        <v>2222</v>
      </c>
      <c r="B19" t="s">
        <v>12</v>
      </c>
      <c r="C19" s="12">
        <f>-1*29102</f>
        <v>-29102</v>
      </c>
      <c r="D19" s="5">
        <f>-1*28633</f>
        <v>-28633</v>
      </c>
      <c r="E19" s="4">
        <f>1879.8*-1</f>
        <v>-1879.8</v>
      </c>
      <c r="F19" s="10">
        <f t="shared" si="0"/>
        <v>6.5651520972304686E-2</v>
      </c>
      <c r="G19" s="26">
        <v>-7617.43</v>
      </c>
      <c r="H19" s="29">
        <f t="shared" si="1"/>
        <v>0.2660367408235253</v>
      </c>
      <c r="I19" s="33">
        <v>-14019</v>
      </c>
      <c r="J19" s="38">
        <f t="shared" si="2"/>
        <v>0.48960989068557259</v>
      </c>
      <c r="K19" s="43">
        <f>-26000</f>
        <v>-26000</v>
      </c>
      <c r="L19" s="56">
        <v>-23000</v>
      </c>
    </row>
    <row r="20" spans="1:13" ht="14.25" customHeight="1">
      <c r="A20">
        <v>2223</v>
      </c>
      <c r="B20" t="s">
        <v>13</v>
      </c>
      <c r="C20" s="12">
        <f>-1*863</f>
        <v>-863</v>
      </c>
      <c r="D20" s="5">
        <f>-1*176</f>
        <v>-176</v>
      </c>
      <c r="E20" s="4">
        <v>-176</v>
      </c>
      <c r="F20" s="10">
        <f t="shared" si="0"/>
        <v>1</v>
      </c>
      <c r="G20" s="26">
        <v>-176</v>
      </c>
      <c r="H20" s="29">
        <f t="shared" si="1"/>
        <v>1</v>
      </c>
      <c r="I20" s="33">
        <v>-176</v>
      </c>
      <c r="J20" s="38">
        <f t="shared" si="2"/>
        <v>1</v>
      </c>
      <c r="K20" s="43">
        <f>-600</f>
        <v>-600</v>
      </c>
      <c r="L20" s="56">
        <v>-600</v>
      </c>
    </row>
    <row r="21" spans="1:13">
      <c r="A21">
        <v>2750</v>
      </c>
      <c r="B21" t="s">
        <v>14</v>
      </c>
      <c r="C21" s="12">
        <f>-1*8901</f>
        <v>-8901</v>
      </c>
      <c r="D21" s="5">
        <f>-1*7657</f>
        <v>-7657</v>
      </c>
      <c r="E21" s="4">
        <f>-1*6378</f>
        <v>-6378</v>
      </c>
      <c r="F21" s="10">
        <f t="shared" ref="F21:F28" si="3">E21/D21</f>
        <v>0.83296330155413345</v>
      </c>
      <c r="G21" s="26">
        <v>-7655.8</v>
      </c>
      <c r="H21" s="29">
        <f t="shared" si="1"/>
        <v>0.99984328065822126</v>
      </c>
      <c r="I21" s="33">
        <v>-7656</v>
      </c>
      <c r="J21" s="38">
        <f t="shared" si="2"/>
        <v>0.99986940054851769</v>
      </c>
      <c r="K21" s="43">
        <f>-7656</f>
        <v>-7656</v>
      </c>
      <c r="L21" s="56">
        <v>-8000</v>
      </c>
    </row>
    <row r="22" spans="1:13">
      <c r="A22">
        <v>2754</v>
      </c>
      <c r="B22" t="s">
        <v>15</v>
      </c>
      <c r="C22" s="12">
        <f>-1*27724</f>
        <v>-27724</v>
      </c>
      <c r="D22" s="5">
        <f>-1*30790</f>
        <v>-30790</v>
      </c>
      <c r="E22" s="4">
        <f>-21442.5</f>
        <v>-21442.5</v>
      </c>
      <c r="F22" s="10">
        <f t="shared" si="3"/>
        <v>0.69641117245859041</v>
      </c>
      <c r="G22" s="26">
        <f>-1*23675.81</f>
        <v>-23675.81</v>
      </c>
      <c r="H22" s="29">
        <f t="shared" si="1"/>
        <v>0.76894478726859372</v>
      </c>
      <c r="I22" s="33">
        <v>-23676</v>
      </c>
      <c r="J22" s="38">
        <f t="shared" si="2"/>
        <v>0.76895095810328029</v>
      </c>
      <c r="K22" s="43">
        <f>-34000</f>
        <v>-34000</v>
      </c>
      <c r="L22" s="56">
        <v>-16000</v>
      </c>
    </row>
    <row r="23" spans="1:13">
      <c r="A23">
        <v>2770</v>
      </c>
      <c r="B23" t="s">
        <v>27</v>
      </c>
      <c r="D23" s="5">
        <v>-94059</v>
      </c>
      <c r="E23" s="4">
        <f>-1*(100658.76-6600)</f>
        <v>-94058.76</v>
      </c>
      <c r="F23" s="10">
        <f t="shared" si="3"/>
        <v>0.99999744841004046</v>
      </c>
      <c r="G23" s="26">
        <f>E23</f>
        <v>-94058.76</v>
      </c>
      <c r="H23" s="29">
        <f t="shared" si="1"/>
        <v>0.99999744841004046</v>
      </c>
      <c r="I23" s="33">
        <v>-94059</v>
      </c>
      <c r="J23" s="38">
        <f t="shared" si="2"/>
        <v>1</v>
      </c>
      <c r="K23" s="43">
        <f>-94059</f>
        <v>-94059</v>
      </c>
      <c r="L23" s="56"/>
    </row>
    <row r="24" spans="1:13">
      <c r="A24">
        <v>2800</v>
      </c>
      <c r="B24" t="s">
        <v>16</v>
      </c>
      <c r="C24" s="12">
        <f>-1*60000</f>
        <v>-60000</v>
      </c>
      <c r="D24" s="5">
        <f>-1*-60000</f>
        <v>60000</v>
      </c>
      <c r="E24" s="4">
        <f>-1*-60000</f>
        <v>60000</v>
      </c>
      <c r="F24" s="10">
        <f t="shared" si="3"/>
        <v>1</v>
      </c>
      <c r="G24" s="26">
        <v>60000</v>
      </c>
      <c r="H24" s="29">
        <f t="shared" si="1"/>
        <v>1</v>
      </c>
      <c r="I24" s="33">
        <v>60000</v>
      </c>
      <c r="J24" s="38">
        <f>1</f>
        <v>1</v>
      </c>
      <c r="K24" s="43">
        <f>60000</f>
        <v>60000</v>
      </c>
      <c r="L24" s="56">
        <v>-50000</v>
      </c>
    </row>
    <row r="25" spans="1:13">
      <c r="A25">
        <v>3120</v>
      </c>
      <c r="B25" t="s">
        <v>17</v>
      </c>
      <c r="C25" s="12">
        <f>-1*8243</f>
        <v>-8243</v>
      </c>
      <c r="D25" s="5">
        <f>-1*9420</f>
        <v>-9420</v>
      </c>
      <c r="E25" s="4">
        <f>-1*1899</f>
        <v>-1899</v>
      </c>
      <c r="F25" s="10">
        <f t="shared" si="3"/>
        <v>0.2015923566878981</v>
      </c>
      <c r="G25" s="26">
        <v>-3798</v>
      </c>
      <c r="H25" s="29">
        <f t="shared" si="1"/>
        <v>0.4031847133757962</v>
      </c>
      <c r="I25" s="33">
        <v>-5666</v>
      </c>
      <c r="J25" s="38">
        <f t="shared" ref="J25:J34" si="4">I25/D25</f>
        <v>0.60148619957537153</v>
      </c>
      <c r="K25" s="43">
        <f>-5666-1899</f>
        <v>-7565</v>
      </c>
      <c r="L25" s="56">
        <f>K25*1.03</f>
        <v>-7791.95</v>
      </c>
    </row>
    <row r="26" spans="1:13">
      <c r="A26">
        <v>2010</v>
      </c>
      <c r="B26" t="s">
        <v>25</v>
      </c>
      <c r="C26" s="24">
        <f>948093*-1</f>
        <v>-948093</v>
      </c>
      <c r="D26" s="5">
        <f>-1*892163</f>
        <v>-892163</v>
      </c>
      <c r="E26" s="4">
        <f>-1*29813.16</f>
        <v>-29813.16</v>
      </c>
      <c r="F26" s="10">
        <f t="shared" si="3"/>
        <v>3.3416718693781294E-2</v>
      </c>
      <c r="G26" s="26">
        <v>-49360.58</v>
      </c>
      <c r="H26" s="29">
        <f t="shared" si="1"/>
        <v>5.5326862916305654E-2</v>
      </c>
      <c r="I26" s="33">
        <f>-443329-78682</f>
        <v>-522011</v>
      </c>
      <c r="J26" s="38">
        <f t="shared" si="4"/>
        <v>0.58510720574603525</v>
      </c>
      <c r="K26" s="43">
        <f>I26-((58366+9000+10000+9136+85500+105000)*1.1794+40000+5500+8000+25000)</f>
        <v>-927207.15879999998</v>
      </c>
      <c r="L26" s="56">
        <f>K26*1.03-10000</f>
        <v>-965023.37356400001</v>
      </c>
      <c r="M26" s="25"/>
    </row>
    <row r="27" spans="1:13">
      <c r="A27">
        <v>3410</v>
      </c>
      <c r="B27" t="s">
        <v>18</v>
      </c>
      <c r="C27" s="12">
        <f>-1*85447</f>
        <v>-85447</v>
      </c>
      <c r="D27" s="5">
        <f>-1*83120</f>
        <v>-83120</v>
      </c>
      <c r="E27" s="4">
        <f>21129*2*-1+1395.94</f>
        <v>-40862.06</v>
      </c>
      <c r="F27" s="10">
        <f t="shared" si="3"/>
        <v>0.49160322425409042</v>
      </c>
      <c r="G27" s="26">
        <f>E27</f>
        <v>-40862.06</v>
      </c>
      <c r="H27" s="29">
        <f t="shared" si="1"/>
        <v>0.49160322425409042</v>
      </c>
      <c r="I27" s="33">
        <v>-66491</v>
      </c>
      <c r="J27" s="38">
        <f t="shared" si="4"/>
        <v>0.79993984600577484</v>
      </c>
      <c r="K27" s="43">
        <f>-85680</f>
        <v>-85680</v>
      </c>
      <c r="L27" s="56">
        <f>K27*1.027</f>
        <v>-87993.359999999986</v>
      </c>
    </row>
    <row r="28" spans="1:13">
      <c r="A28">
        <v>3430</v>
      </c>
      <c r="B28" t="s">
        <v>28</v>
      </c>
      <c r="C28" s="12">
        <f>-1*15000</f>
        <v>-15000</v>
      </c>
      <c r="D28" s="5">
        <f>-1*18000</f>
        <v>-18000</v>
      </c>
      <c r="E28" s="4">
        <f>4500*-1</f>
        <v>-4500</v>
      </c>
      <c r="F28" s="10">
        <f t="shared" si="3"/>
        <v>0.25</v>
      </c>
      <c r="G28" s="26">
        <v>-4500</v>
      </c>
      <c r="H28" s="29">
        <f t="shared" si="1"/>
        <v>0.25</v>
      </c>
      <c r="I28" s="33">
        <v>-4500</v>
      </c>
      <c r="J28" s="38">
        <f t="shared" si="4"/>
        <v>0.25</v>
      </c>
      <c r="K28" s="43">
        <v>-18000</v>
      </c>
      <c r="L28" s="56">
        <f>K28</f>
        <v>-18000</v>
      </c>
    </row>
    <row r="29" spans="1:13">
      <c r="A29">
        <v>3600</v>
      </c>
      <c r="B29" t="s">
        <v>19</v>
      </c>
      <c r="C29" s="12">
        <f>-1*4216</f>
        <v>-4216</v>
      </c>
      <c r="D29" s="5">
        <f>-1*7782</f>
        <v>-7782</v>
      </c>
      <c r="E29" s="4">
        <f>-3525.21</f>
        <v>-3525.21</v>
      </c>
      <c r="F29" s="10">
        <f t="shared" ref="F29:F34" si="5">E29/D29</f>
        <v>0.45299537393986122</v>
      </c>
      <c r="G29" s="26">
        <f>-1*(4369.21+797)</f>
        <v>-5166.21</v>
      </c>
      <c r="H29" s="29">
        <f t="shared" si="1"/>
        <v>0.66386661526599844</v>
      </c>
      <c r="I29" s="33">
        <v>-6372</v>
      </c>
      <c r="J29" s="38">
        <f t="shared" si="4"/>
        <v>0.8188126445643793</v>
      </c>
      <c r="K29" s="43">
        <v>-7000</v>
      </c>
      <c r="L29" s="56">
        <v>-10000</v>
      </c>
    </row>
    <row r="30" spans="1:13">
      <c r="A30">
        <v>3617</v>
      </c>
      <c r="B30" t="s">
        <v>20</v>
      </c>
      <c r="C30" s="12">
        <f>-1*18211</f>
        <v>-18211</v>
      </c>
      <c r="D30" s="5">
        <f>-1*10180</f>
        <v>-10180</v>
      </c>
      <c r="E30" s="4">
        <f>-1*7974</f>
        <v>-7974</v>
      </c>
      <c r="F30" s="10">
        <f t="shared" si="5"/>
        <v>0.7833005893909627</v>
      </c>
      <c r="G30" s="26">
        <v>-7974</v>
      </c>
      <c r="H30" s="29">
        <f t="shared" si="1"/>
        <v>0.7833005893909627</v>
      </c>
      <c r="I30" s="33">
        <v>-10181</v>
      </c>
      <c r="J30" s="38">
        <f t="shared" si="4"/>
        <v>1.0000982318271119</v>
      </c>
      <c r="K30" s="43">
        <v>-14000</v>
      </c>
      <c r="L30" s="56">
        <v>-11000</v>
      </c>
    </row>
    <row r="31" spans="1:13">
      <c r="A31">
        <v>3620</v>
      </c>
      <c r="B31" t="s">
        <v>21</v>
      </c>
      <c r="C31" s="12">
        <f>-1*14731</f>
        <v>-14731</v>
      </c>
      <c r="D31" s="5">
        <f>-1*12675</f>
        <v>-12675</v>
      </c>
      <c r="E31" s="4">
        <f>-2675.71</f>
        <v>-2675.71</v>
      </c>
      <c r="F31" s="10">
        <f t="shared" si="5"/>
        <v>0.21110138067061143</v>
      </c>
      <c r="G31" s="26">
        <v>-5531.4</v>
      </c>
      <c r="H31" s="29">
        <f t="shared" si="1"/>
        <v>0.43640236686390532</v>
      </c>
      <c r="I31" s="33">
        <v>-7799</v>
      </c>
      <c r="J31" s="38">
        <f t="shared" si="4"/>
        <v>0.6153057199211045</v>
      </c>
      <c r="K31" s="43">
        <f>-(7799+5000+672+135+218)</f>
        <v>-13824</v>
      </c>
      <c r="L31" s="56">
        <v>-15000</v>
      </c>
    </row>
    <row r="32" spans="1:13">
      <c r="A32">
        <v>3650</v>
      </c>
      <c r="B32" t="s">
        <v>22</v>
      </c>
      <c r="C32" s="12">
        <f>-1*8952</f>
        <v>-8952</v>
      </c>
      <c r="D32" s="5">
        <f>-1*6704</f>
        <v>-6704</v>
      </c>
      <c r="E32" s="4">
        <f>-1*3687.9</f>
        <v>-3687.9</v>
      </c>
      <c r="F32" s="10">
        <f t="shared" si="5"/>
        <v>0.55010441527446297</v>
      </c>
      <c r="G32" s="26">
        <v>-3687.9</v>
      </c>
      <c r="H32" s="29">
        <f t="shared" si="1"/>
        <v>0.55010441527446297</v>
      </c>
      <c r="I32" s="33">
        <v>-7185</v>
      </c>
      <c r="J32" s="38">
        <f t="shared" si="4"/>
        <v>1.0717482100238664</v>
      </c>
      <c r="K32" s="43">
        <v>-9180</v>
      </c>
      <c r="L32" s="56">
        <f>-9000</f>
        <v>-9000</v>
      </c>
    </row>
    <row r="33" spans="1:12">
      <c r="A33">
        <v>3655</v>
      </c>
      <c r="B33" t="s">
        <v>26</v>
      </c>
      <c r="C33" s="12">
        <f>-1*16402</f>
        <v>-16402</v>
      </c>
      <c r="D33" s="5">
        <f>-1*17094</f>
        <v>-17094</v>
      </c>
      <c r="E33" s="4">
        <f>-1*(100+3831)</f>
        <v>-3931</v>
      </c>
      <c r="F33" s="10">
        <f t="shared" si="5"/>
        <v>0.22996372996372996</v>
      </c>
      <c r="G33" s="26">
        <f>-1*(275+7662)</f>
        <v>-7937</v>
      </c>
      <c r="H33" s="29">
        <f t="shared" si="1"/>
        <v>0.46431496431496433</v>
      </c>
      <c r="I33" s="33">
        <f>-300-9164</f>
        <v>-9464</v>
      </c>
      <c r="J33" s="38">
        <f t="shared" si="4"/>
        <v>0.55364455364455367</v>
      </c>
      <c r="K33" s="43">
        <v>-17000</v>
      </c>
      <c r="L33" s="56">
        <f>K33</f>
        <v>-17000</v>
      </c>
    </row>
    <row r="34" spans="1:12">
      <c r="A34">
        <v>3700</v>
      </c>
      <c r="B34" t="s">
        <v>23</v>
      </c>
      <c r="C34" s="12">
        <f>-1*19375</f>
        <v>-19375</v>
      </c>
      <c r="D34" s="5">
        <f>-1*19375</f>
        <v>-19375</v>
      </c>
      <c r="E34" s="4">
        <v>0</v>
      </c>
      <c r="F34" s="10">
        <f t="shared" si="5"/>
        <v>0</v>
      </c>
      <c r="G34" s="26">
        <v>-19375</v>
      </c>
      <c r="H34" s="29">
        <f t="shared" si="1"/>
        <v>1</v>
      </c>
      <c r="I34" s="33">
        <v>-19375</v>
      </c>
      <c r="J34" s="38">
        <f t="shared" si="4"/>
        <v>1</v>
      </c>
      <c r="K34" s="43">
        <v>-19375</v>
      </c>
      <c r="L34" s="56">
        <f>K34</f>
        <v>-19375</v>
      </c>
    </row>
    <row r="35" spans="1:12">
      <c r="A35" s="3"/>
      <c r="B35" s="3" t="s">
        <v>29</v>
      </c>
      <c r="C35" s="14"/>
      <c r="D35" s="7">
        <f>-1*10000</f>
        <v>-10000</v>
      </c>
      <c r="E35" s="4">
        <v>-10000</v>
      </c>
      <c r="F35" s="10">
        <f>E35/D35</f>
        <v>1</v>
      </c>
      <c r="G35" s="26">
        <v>-10000</v>
      </c>
      <c r="H35" s="29">
        <v>1</v>
      </c>
      <c r="I35" s="34">
        <v>-10000</v>
      </c>
      <c r="J35" s="38">
        <v>0.01</v>
      </c>
      <c r="K35" s="44">
        <v>-10000</v>
      </c>
      <c r="L35" s="56"/>
    </row>
    <row r="36" spans="1:12" s="2" customFormat="1">
      <c r="B36" s="2" t="s">
        <v>31</v>
      </c>
      <c r="C36" s="15">
        <f>SUM(C15:C35)</f>
        <v>-1405272</v>
      </c>
      <c r="D36" s="8">
        <f>SUM(D15:D35)</f>
        <v>-1241951</v>
      </c>
      <c r="E36" s="21">
        <f>SUM(E15:E35)</f>
        <v>-197008.00999999998</v>
      </c>
      <c r="F36" s="11">
        <f>E36/D36</f>
        <v>0.15862784441576197</v>
      </c>
      <c r="G36" s="27">
        <f>SUM(G15:G35)</f>
        <v>-261287.19999999998</v>
      </c>
      <c r="H36" s="31">
        <f>G36/D36</f>
        <v>0.2103844676641832</v>
      </c>
      <c r="I36" s="35">
        <f>SUM(I15:I35)</f>
        <v>-786764</v>
      </c>
      <c r="J36" s="39">
        <f>I36/D36</f>
        <v>0.6334903711982196</v>
      </c>
      <c r="K36" s="45">
        <f>SUM(K15:K35)</f>
        <v>-1294146.1587999999</v>
      </c>
      <c r="L36" s="58">
        <f>SUM(L15:L35)</f>
        <v>-1318783.6835639998</v>
      </c>
    </row>
    <row r="37" spans="1:12">
      <c r="A37" t="s">
        <v>2</v>
      </c>
      <c r="B37" s="2" t="s">
        <v>30</v>
      </c>
      <c r="C37" s="16">
        <f>C12+C36</f>
        <v>-87655</v>
      </c>
      <c r="D37" s="9">
        <f>D12+D36</f>
        <v>73192</v>
      </c>
      <c r="E37" s="22">
        <f>SUM(E7:E10)+SUM(E15:E20)+SUM(E21:E24)+SUM(E25:E25)+SUM(E27:E28)+SUM(E29:E34)</f>
        <v>144896.14999999997</v>
      </c>
      <c r="G37" s="30">
        <f>G12+G36</f>
        <v>320237.80000000005</v>
      </c>
      <c r="I37" s="37">
        <f>I12+I36</f>
        <v>65561</v>
      </c>
      <c r="K37" s="46">
        <f>K12+K36</f>
        <v>19483.841200000141</v>
      </c>
      <c r="L37" s="59">
        <f>L12+L36</f>
        <v>1622.0884360000491</v>
      </c>
    </row>
    <row r="38" spans="1:12">
      <c r="G38" s="26"/>
      <c r="K38" s="43"/>
    </row>
    <row r="39" spans="1:12">
      <c r="C39" s="47"/>
      <c r="D39" s="40"/>
      <c r="E39" s="48"/>
      <c r="F39" s="49"/>
      <c r="G39" s="40"/>
      <c r="H39" s="50"/>
      <c r="I39" s="40"/>
      <c r="J39" s="41"/>
      <c r="K39" s="40"/>
    </row>
    <row r="40" spans="1:12">
      <c r="C40" s="47"/>
      <c r="D40" s="40"/>
      <c r="E40" s="48"/>
      <c r="F40" s="49"/>
      <c r="G40" s="40"/>
      <c r="H40" s="50"/>
      <c r="I40" s="40"/>
      <c r="J40" s="41"/>
      <c r="K40" s="40"/>
    </row>
    <row r="41" spans="1:12">
      <c r="B41" s="1"/>
      <c r="C41" s="51"/>
      <c r="D41" s="52"/>
      <c r="E41" s="48"/>
      <c r="F41" s="49"/>
      <c r="G41" s="40"/>
      <c r="H41" s="50"/>
      <c r="I41" s="40"/>
      <c r="J41" s="41"/>
      <c r="K41" s="40"/>
    </row>
    <row r="42" spans="1:12">
      <c r="C42" s="47"/>
      <c r="D42" s="40"/>
      <c r="E42" s="48"/>
      <c r="F42" s="49"/>
      <c r="G42" s="40"/>
      <c r="H42" s="50"/>
      <c r="I42" s="40"/>
      <c r="J42" s="41"/>
      <c r="K42" s="40"/>
    </row>
    <row r="43" spans="1:12">
      <c r="C43" s="47"/>
      <c r="D43" s="40"/>
      <c r="E43" s="48"/>
      <c r="F43" s="49"/>
      <c r="G43" s="40"/>
      <c r="H43" s="50"/>
      <c r="I43" s="40"/>
      <c r="J43" s="41"/>
      <c r="K43" s="40"/>
    </row>
    <row r="44" spans="1:12">
      <c r="C44" s="47"/>
      <c r="D44" s="40"/>
      <c r="E44" s="48"/>
      <c r="F44" s="49"/>
      <c r="G44" s="40"/>
      <c r="H44" s="50"/>
      <c r="I44" s="40"/>
      <c r="J44" s="41"/>
      <c r="K44" s="40"/>
    </row>
    <row r="45" spans="1:12">
      <c r="B45" s="1"/>
      <c r="C45" s="51"/>
      <c r="D45" s="52"/>
      <c r="E45" s="48"/>
      <c r="F45" s="49"/>
      <c r="G45" s="40"/>
      <c r="H45" s="50"/>
      <c r="I45" s="40"/>
      <c r="J45" s="41"/>
      <c r="K45" s="40"/>
    </row>
    <row r="46" spans="1:12">
      <c r="B46" s="1"/>
      <c r="C46" s="51"/>
      <c r="D46" s="52"/>
      <c r="E46" s="48"/>
      <c r="F46" s="49"/>
      <c r="G46" s="40"/>
      <c r="H46" s="50"/>
      <c r="I46" s="40"/>
      <c r="J46" s="41"/>
      <c r="K46" s="40"/>
    </row>
    <row r="47" spans="1:12">
      <c r="C47" s="47"/>
      <c r="D47" s="40"/>
      <c r="E47" s="48"/>
      <c r="F47" s="49"/>
      <c r="G47" s="40"/>
      <c r="H47" s="50"/>
      <c r="I47" s="40"/>
      <c r="J47" s="41"/>
      <c r="K47" s="40"/>
    </row>
    <row r="48" spans="1:12">
      <c r="B48" s="1"/>
      <c r="C48" s="51"/>
      <c r="D48" s="52"/>
      <c r="E48" s="48"/>
      <c r="F48" s="49"/>
      <c r="G48" s="40"/>
      <c r="H48" s="50"/>
      <c r="I48" s="40"/>
      <c r="J48" s="41"/>
      <c r="K48" s="40"/>
    </row>
    <row r="49" spans="2:11">
      <c r="C49" s="47"/>
      <c r="D49" s="40"/>
      <c r="E49" s="48"/>
      <c r="F49" s="49"/>
      <c r="G49" s="40"/>
      <c r="H49" s="50"/>
      <c r="I49" s="40"/>
      <c r="J49" s="41"/>
      <c r="K49" s="40"/>
    </row>
    <row r="50" spans="2:11">
      <c r="C50" s="47"/>
      <c r="D50" s="40"/>
      <c r="E50" s="48"/>
      <c r="F50" s="49"/>
      <c r="G50" s="40"/>
      <c r="H50" s="50"/>
      <c r="I50" s="40"/>
      <c r="J50" s="41"/>
      <c r="K50" s="40"/>
    </row>
    <row r="51" spans="2:11">
      <c r="C51" s="47"/>
      <c r="D51" s="40"/>
      <c r="E51" s="48"/>
      <c r="F51" s="49"/>
      <c r="G51" s="40"/>
      <c r="H51" s="50"/>
      <c r="I51" s="40"/>
      <c r="J51" s="41"/>
      <c r="K51" s="40"/>
    </row>
    <row r="52" spans="2:11">
      <c r="C52" s="47"/>
      <c r="D52" s="40"/>
      <c r="E52" s="48"/>
      <c r="F52" s="49"/>
      <c r="G52" s="40"/>
      <c r="H52" s="50"/>
      <c r="I52" s="40"/>
      <c r="J52" s="41"/>
      <c r="K52" s="40"/>
    </row>
    <row r="53" spans="2:11">
      <c r="B53" s="1"/>
      <c r="C53" s="51"/>
      <c r="D53" s="52"/>
      <c r="E53" s="48"/>
      <c r="F53" s="49"/>
      <c r="G53" s="40"/>
      <c r="H53" s="50"/>
      <c r="I53" s="40"/>
      <c r="J53" s="41"/>
      <c r="K53" s="40"/>
    </row>
    <row r="54" spans="2:11">
      <c r="C54" s="47"/>
      <c r="D54" s="40"/>
      <c r="E54" s="48"/>
      <c r="F54" s="49"/>
      <c r="G54" s="40"/>
      <c r="H54" s="50"/>
      <c r="I54" s="40"/>
      <c r="J54" s="41"/>
      <c r="K54" s="40"/>
    </row>
    <row r="55" spans="2:11">
      <c r="B55" s="1"/>
      <c r="C55" s="51"/>
      <c r="D55" s="52"/>
      <c r="E55" s="48"/>
      <c r="F55" s="49"/>
      <c r="G55" s="40"/>
      <c r="H55" s="50"/>
      <c r="I55" s="40"/>
      <c r="J55" s="41"/>
      <c r="K55" s="40"/>
    </row>
    <row r="56" spans="2:11">
      <c r="C56" s="47"/>
      <c r="D56" s="40"/>
      <c r="E56" s="48"/>
      <c r="F56" s="49"/>
      <c r="G56" s="40"/>
      <c r="H56" s="50"/>
      <c r="I56" s="40"/>
      <c r="J56" s="41"/>
      <c r="K56" s="40"/>
    </row>
    <row r="57" spans="2:11">
      <c r="C57" s="47"/>
      <c r="D57" s="40"/>
      <c r="E57" s="48"/>
      <c r="F57" s="49"/>
      <c r="G57" s="40"/>
      <c r="H57" s="50"/>
      <c r="I57" s="40"/>
      <c r="J57" s="41"/>
      <c r="K57" s="40"/>
    </row>
    <row r="58" spans="2:11">
      <c r="C58" s="47"/>
      <c r="D58" s="40"/>
      <c r="E58" s="48"/>
      <c r="F58" s="49"/>
      <c r="G58" s="40"/>
      <c r="H58" s="50"/>
      <c r="I58" s="40"/>
      <c r="J58" s="41"/>
      <c r="K58" s="40"/>
    </row>
    <row r="59" spans="2:11">
      <c r="C59" s="47"/>
      <c r="D59" s="40"/>
      <c r="E59" s="48"/>
      <c r="F59" s="49"/>
      <c r="G59" s="40"/>
      <c r="H59" s="50"/>
      <c r="I59" s="40"/>
      <c r="J59" s="41"/>
      <c r="K59" s="40"/>
    </row>
    <row r="60" spans="2:11">
      <c r="C60" s="47"/>
      <c r="D60" s="40"/>
      <c r="E60" s="48"/>
      <c r="F60" s="49"/>
      <c r="G60" s="40"/>
      <c r="H60" s="50"/>
      <c r="I60" s="40"/>
      <c r="J60" s="41"/>
      <c r="K60" s="40"/>
    </row>
    <row r="61" spans="2:11">
      <c r="C61" s="47"/>
      <c r="D61" s="40"/>
      <c r="E61" s="48"/>
      <c r="F61" s="49"/>
      <c r="G61" s="40"/>
      <c r="H61" s="50"/>
      <c r="I61" s="40"/>
      <c r="J61" s="41"/>
      <c r="K61" s="40"/>
    </row>
    <row r="62" spans="2:11">
      <c r="C62" s="47"/>
      <c r="D62" s="40"/>
      <c r="E62" s="48"/>
      <c r="F62" s="49"/>
      <c r="G62" s="40"/>
      <c r="H62" s="50"/>
      <c r="I62" s="40"/>
      <c r="J62" s="41"/>
      <c r="K62" s="40"/>
    </row>
    <row r="63" spans="2:11">
      <c r="C63" s="47"/>
      <c r="D63" s="40"/>
      <c r="E63" s="48"/>
      <c r="F63" s="49"/>
      <c r="G63" s="40"/>
      <c r="H63" s="50"/>
      <c r="I63" s="40"/>
      <c r="J63" s="41"/>
      <c r="K63" s="40"/>
    </row>
    <row r="64" spans="2:11">
      <c r="C64" s="47"/>
      <c r="D64" s="40"/>
      <c r="E64" s="48"/>
      <c r="F64" s="49"/>
      <c r="G64" s="40"/>
      <c r="H64" s="50"/>
      <c r="I64" s="40"/>
      <c r="J64" s="41"/>
      <c r="K64" s="40"/>
    </row>
    <row r="65" spans="2:11">
      <c r="C65" s="47"/>
      <c r="D65" s="40"/>
      <c r="E65" s="48"/>
      <c r="F65" s="49"/>
      <c r="G65" s="40"/>
      <c r="H65" s="50"/>
      <c r="I65" s="40"/>
      <c r="J65" s="41"/>
      <c r="K65" s="40"/>
    </row>
    <row r="66" spans="2:11">
      <c r="C66" s="47"/>
      <c r="D66" s="40"/>
      <c r="E66" s="48"/>
      <c r="F66" s="49"/>
      <c r="G66" s="40"/>
      <c r="H66" s="50"/>
      <c r="I66" s="40"/>
      <c r="J66" s="41"/>
      <c r="K66" s="40"/>
    </row>
    <row r="67" spans="2:11">
      <c r="C67" s="47"/>
      <c r="D67" s="40"/>
      <c r="E67" s="48"/>
      <c r="F67" s="49"/>
      <c r="G67" s="40"/>
      <c r="H67" s="50"/>
      <c r="I67" s="40"/>
      <c r="J67" s="41"/>
      <c r="K67" s="40"/>
    </row>
    <row r="68" spans="2:11">
      <c r="C68" s="47"/>
      <c r="D68" s="40"/>
      <c r="E68" s="48"/>
      <c r="F68" s="49"/>
      <c r="G68" s="40"/>
      <c r="H68" s="50"/>
      <c r="I68" s="40"/>
      <c r="J68" s="41"/>
      <c r="K68" s="40"/>
    </row>
    <row r="69" spans="2:11">
      <c r="C69" s="47"/>
      <c r="D69" s="40"/>
      <c r="E69" s="48"/>
      <c r="F69" s="49"/>
      <c r="G69" s="40"/>
      <c r="H69" s="50"/>
      <c r="I69" s="40"/>
      <c r="J69" s="41"/>
      <c r="K69" s="40"/>
    </row>
    <row r="70" spans="2:11">
      <c r="B70" s="1"/>
      <c r="C70" s="51"/>
      <c r="D70" s="52"/>
      <c r="E70" s="48"/>
      <c r="F70" s="49"/>
      <c r="G70" s="40"/>
      <c r="H70" s="50"/>
      <c r="I70" s="40"/>
      <c r="J70" s="41"/>
      <c r="K70" s="40"/>
    </row>
    <row r="71" spans="2:11">
      <c r="B71" s="1"/>
      <c r="C71" s="51"/>
      <c r="D71" s="52"/>
      <c r="E71" s="48"/>
      <c r="F71" s="49"/>
      <c r="G71" s="40"/>
      <c r="H71" s="50"/>
      <c r="I71" s="40"/>
      <c r="J71" s="41"/>
      <c r="K71" s="40"/>
    </row>
    <row r="72" spans="2:11">
      <c r="C72" s="47"/>
      <c r="D72" s="40"/>
      <c r="E72" s="48"/>
      <c r="F72" s="49"/>
      <c r="G72" s="40"/>
      <c r="H72" s="50"/>
      <c r="I72" s="40"/>
      <c r="J72" s="41"/>
      <c r="K72" s="40"/>
    </row>
    <row r="73" spans="2:11">
      <c r="B73" s="1"/>
      <c r="C73" s="51"/>
      <c r="D73" s="52"/>
      <c r="E73" s="48"/>
      <c r="F73" s="49"/>
      <c r="G73" s="40"/>
      <c r="H73" s="50"/>
      <c r="I73" s="40"/>
      <c r="J73" s="41"/>
      <c r="K73" s="53"/>
    </row>
    <row r="74" spans="2:11">
      <c r="C74" s="47"/>
      <c r="D74" s="40"/>
      <c r="E74" s="48"/>
      <c r="F74" s="49"/>
      <c r="G74" s="40"/>
      <c r="H74" s="50"/>
      <c r="I74" s="40"/>
      <c r="J74" s="41"/>
      <c r="K74" s="53"/>
    </row>
    <row r="75" spans="2:11">
      <c r="B75" s="1"/>
      <c r="C75" s="51"/>
      <c r="D75" s="52"/>
      <c r="E75" s="48"/>
      <c r="F75" s="49"/>
      <c r="G75" s="40"/>
      <c r="H75" s="50"/>
      <c r="I75" s="40"/>
      <c r="J75" s="41"/>
      <c r="K75" s="53"/>
    </row>
    <row r="76" spans="2:11">
      <c r="C76" s="47"/>
      <c r="D76" s="40"/>
      <c r="E76" s="48"/>
      <c r="F76" s="49"/>
      <c r="G76" s="40"/>
      <c r="H76" s="50"/>
      <c r="I76" s="40"/>
      <c r="J76" s="41"/>
      <c r="K76" s="53"/>
    </row>
    <row r="77" spans="2:11">
      <c r="B77" s="1"/>
      <c r="C77" s="51"/>
      <c r="D77" s="52"/>
      <c r="E77" s="48"/>
      <c r="F77" s="49"/>
      <c r="G77" s="53"/>
      <c r="H77" s="50"/>
      <c r="I77" s="40"/>
      <c r="J77" s="41"/>
      <c r="K77" s="53"/>
    </row>
    <row r="78" spans="2:11">
      <c r="C78" s="47"/>
      <c r="D78" s="40"/>
      <c r="E78" s="48"/>
      <c r="F78" s="49"/>
      <c r="G78" s="53"/>
      <c r="H78" s="50"/>
      <c r="I78" s="40"/>
      <c r="J78" s="41"/>
      <c r="K78" s="53"/>
    </row>
    <row r="79" spans="2:11">
      <c r="B79" s="1"/>
      <c r="C79" s="51"/>
      <c r="D79" s="52"/>
      <c r="E79" s="48"/>
      <c r="F79" s="49"/>
      <c r="G79" s="53"/>
      <c r="H79" s="50"/>
      <c r="I79" s="40"/>
      <c r="J79" s="41"/>
      <c r="K79" s="53"/>
    </row>
    <row r="80" spans="2:11">
      <c r="C80" s="47"/>
      <c r="D80" s="40"/>
      <c r="E80" s="48"/>
      <c r="F80" s="49"/>
      <c r="G80" s="53"/>
      <c r="H80" s="50"/>
      <c r="I80" s="40"/>
      <c r="J80" s="41"/>
      <c r="K80" s="53"/>
    </row>
    <row r="81" spans="2:11">
      <c r="C81" s="47"/>
      <c r="D81" s="40"/>
      <c r="E81" s="48"/>
      <c r="F81" s="49"/>
      <c r="G81" s="53"/>
      <c r="H81" s="50"/>
      <c r="I81" s="40"/>
      <c r="J81" s="41"/>
      <c r="K81" s="53"/>
    </row>
    <row r="82" spans="2:11">
      <c r="B82" s="1"/>
      <c r="C82" s="51"/>
      <c r="D82" s="52"/>
      <c r="E82" s="48"/>
      <c r="F82" s="49"/>
      <c r="G82" s="53"/>
      <c r="H82" s="50"/>
      <c r="I82" s="40"/>
      <c r="J82" s="41"/>
      <c r="K82" s="53"/>
    </row>
    <row r="83" spans="2:11">
      <c r="C83" s="47"/>
      <c r="D83" s="40"/>
      <c r="E83" s="48"/>
      <c r="F83" s="49"/>
      <c r="G83" s="53"/>
      <c r="H83" s="50"/>
      <c r="I83" s="40"/>
      <c r="J83" s="41"/>
      <c r="K83" s="53"/>
    </row>
    <row r="84" spans="2:11">
      <c r="B84" s="1"/>
      <c r="C84" s="51"/>
      <c r="D84" s="52"/>
      <c r="E84" s="48"/>
      <c r="F84" s="49"/>
      <c r="G84" s="53"/>
      <c r="H84" s="50"/>
      <c r="I84" s="40"/>
      <c r="J84" s="41"/>
      <c r="K84" s="53"/>
    </row>
    <row r="85" spans="2:11">
      <c r="C85" s="47"/>
      <c r="D85" s="40"/>
      <c r="E85" s="48"/>
      <c r="F85" s="49"/>
      <c r="G85" s="53"/>
      <c r="H85" s="50"/>
      <c r="I85" s="40"/>
      <c r="J85" s="41"/>
      <c r="K85" s="53"/>
    </row>
    <row r="86" spans="2:11">
      <c r="B86" s="1"/>
      <c r="C86" s="51"/>
      <c r="D86" s="52"/>
      <c r="E86" s="48"/>
      <c r="F86" s="49"/>
      <c r="G86" s="53"/>
      <c r="H86" s="50"/>
      <c r="I86" s="40"/>
      <c r="J86" s="41"/>
      <c r="K86" s="53"/>
    </row>
    <row r="87" spans="2:11">
      <c r="C87" s="47"/>
      <c r="D87" s="40"/>
      <c r="E87" s="48"/>
      <c r="F87" s="49"/>
      <c r="G87" s="53"/>
      <c r="H87" s="50"/>
      <c r="I87" s="40"/>
      <c r="J87" s="41"/>
      <c r="K87" s="53"/>
    </row>
    <row r="88" spans="2:11">
      <c r="C88" s="47"/>
      <c r="D88" s="40"/>
      <c r="E88" s="48"/>
      <c r="F88" s="49"/>
      <c r="G88" s="53"/>
      <c r="H88" s="50"/>
      <c r="I88" s="40"/>
      <c r="J88" s="41"/>
      <c r="K88" s="53"/>
    </row>
    <row r="89" spans="2:11">
      <c r="C89" s="47"/>
      <c r="D89" s="40"/>
      <c r="E89" s="48"/>
      <c r="F89" s="49"/>
      <c r="G89" s="53"/>
      <c r="H89" s="50"/>
      <c r="I89" s="40"/>
      <c r="J89" s="41"/>
      <c r="K89" s="53"/>
    </row>
    <row r="90" spans="2:11">
      <c r="C90" s="47"/>
      <c r="D90" s="40"/>
      <c r="E90" s="48"/>
      <c r="F90" s="49"/>
      <c r="G90" s="53"/>
      <c r="H90" s="50"/>
      <c r="I90" s="40"/>
      <c r="J90" s="41"/>
      <c r="K90" s="53"/>
    </row>
  </sheetData>
  <mergeCells count="3">
    <mergeCell ref="A2:Y2"/>
    <mergeCell ref="A3:Y3"/>
    <mergeCell ref="A4:Y4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Sheet1</vt:lpstr>
      <vt:lpstr>Sheet1!Udskriftsområde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Jensen</dc:creator>
  <cp:lastModifiedBy>Per Flemming Brinckmann</cp:lastModifiedBy>
  <cp:lastPrinted>2019-09-30T09:55:14Z</cp:lastPrinted>
  <dcterms:created xsi:type="dcterms:W3CDTF">2019-03-21T11:29:14Z</dcterms:created>
  <dcterms:modified xsi:type="dcterms:W3CDTF">2020-03-02T15:05:40Z</dcterms:modified>
</cp:coreProperties>
</file>